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PL\SHARES\PL-Urban Design and Devel\Collaboration\09-Housing Collaboration\AARP Design Competition\Pro Forma\"/>
    </mc:Choice>
  </mc:AlternateContent>
  <xr:revisionPtr revIDLastSave="0" documentId="8_{77B3F947-5A6C-414C-817E-D0621D5A28EF}" xr6:coauthVersionLast="47" xr6:coauthVersionMax="47" xr10:uidLastSave="{00000000-0000-0000-0000-000000000000}"/>
  <bookViews>
    <workbookView xWindow="35025" yWindow="4500" windowWidth="26190" windowHeight="14460" activeTab="1" xr2:uid="{00000000-000D-0000-FFFF-FFFF00000000}"/>
  </bookViews>
  <sheets>
    <sheet name="Pro Forma" sheetId="1" r:id="rId1"/>
    <sheet name="Judging Rubric" sheetId="5" r:id="rId2"/>
    <sheet name="Parking Calculation" sheetId="4" r:id="rId3"/>
    <sheet name="Cottage Units Calculation" sheetId="2" r:id="rId4"/>
    <sheet name="Land Cost by Context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" l="1"/>
  <c r="B22" i="1"/>
  <c r="B2" i="2"/>
  <c r="B3" i="2" s="1"/>
  <c r="B5" i="2" s="1"/>
  <c r="B6" i="2" s="1"/>
  <c r="B8" i="1" s="1"/>
  <c r="B21" i="1"/>
  <c r="D18" i="1"/>
  <c r="B18" i="1"/>
  <c r="B46" i="1" s="1"/>
  <c r="C46" i="1" s="1"/>
  <c r="D17" i="1"/>
  <c r="D16" i="1"/>
  <c r="D15" i="1"/>
  <c r="B10" i="1"/>
  <c r="B7" i="1"/>
  <c r="B3" i="4" l="1"/>
  <c r="C3" i="4" s="1"/>
  <c r="C5" i="4" s="1"/>
  <c r="B35" i="1"/>
  <c r="C35" i="1" s="1"/>
  <c r="B42" i="1"/>
  <c r="B43" i="1" s="1"/>
  <c r="C43" i="1" s="1"/>
  <c r="B34" i="1"/>
  <c r="C34" i="1" s="1"/>
  <c r="B8" i="2"/>
  <c r="B7" i="2"/>
  <c r="B36" i="1" l="1"/>
  <c r="B38" i="1" s="1"/>
  <c r="C38" i="1" s="1"/>
  <c r="C42" i="1"/>
  <c r="B44" i="1"/>
  <c r="C36" i="1" l="1"/>
  <c r="B37" i="1"/>
  <c r="C37" i="1" s="1"/>
  <c r="B45" i="1"/>
  <c r="C45" i="1" s="1"/>
  <c r="C44" i="1"/>
  <c r="B39" i="1" l="1"/>
  <c r="B47" i="1"/>
  <c r="B54" i="1" l="1"/>
  <c r="B55" i="1" s="1"/>
  <c r="B48" i="1"/>
  <c r="C48" i="1" s="1"/>
  <c r="C39" i="1"/>
  <c r="C47" i="1"/>
  <c r="B52" i="1"/>
  <c r="B53" i="1" s="1"/>
  <c r="B49" i="1" l="1"/>
  <c r="C49" i="1" s="1"/>
  <c r="B56" i="1"/>
</calcChain>
</file>

<file path=xl/sharedStrings.xml><?xml version="1.0" encoding="utf-8"?>
<sst xmlns="http://schemas.openxmlformats.org/spreadsheetml/2006/main" count="181" uniqueCount="148">
  <si>
    <t>COTTAGE STYLE DEVELOPMENT PRO FORMA</t>
  </si>
  <si>
    <t>Albuquerque, New Mexico</t>
  </si>
  <si>
    <t>PROJECT INPUTS</t>
  </si>
  <si>
    <t>Site Size (acres):</t>
  </si>
  <si>
    <t>Site Size (s.f.):</t>
  </si>
  <si>
    <t>Location Type:</t>
  </si>
  <si>
    <t>Suburban</t>
  </si>
  <si>
    <t>Total Building SF:</t>
  </si>
  <si>
    <r>
      <t xml:space="preserve">Calculated based on inputs below; must be </t>
    </r>
    <r>
      <rPr>
        <sz val="10"/>
        <color rgb="FF646464"/>
        <rFont val="Aptos Narrow"/>
        <family val="2"/>
      </rPr>
      <t>≤</t>
    </r>
    <r>
      <rPr>
        <i/>
        <sz val="10"/>
        <color rgb="FF646464"/>
        <rFont val="Arial"/>
        <family val="2"/>
      </rPr>
      <t xml:space="preserve"> total square footage allowed</t>
    </r>
  </si>
  <si>
    <t>Construction Type:</t>
  </si>
  <si>
    <t>Quality Type:</t>
  </si>
  <si>
    <t>Luxury</t>
  </si>
  <si>
    <t>UNIT MIX</t>
  </si>
  <si>
    <t>Unit Type</t>
  </si>
  <si>
    <t># of Units</t>
  </si>
  <si>
    <t>Avg SF/Unit</t>
  </si>
  <si>
    <t>Monthly Rent/Unit</t>
  </si>
  <si>
    <t>Studio / Loft / 1-Bedroom</t>
  </si>
  <si>
    <t>Please input number of each type of unit but do NOT change Avg SF/Unit or Monthly Rent/Unit</t>
  </si>
  <si>
    <t>2-Bedroom</t>
  </si>
  <si>
    <t>3-Bedroom</t>
  </si>
  <si>
    <t>Total Units:</t>
  </si>
  <si>
    <t>Total SF:</t>
  </si>
  <si>
    <t>HARD-CODED ASSUMPTIONS</t>
  </si>
  <si>
    <t>Land Cost/SF:</t>
  </si>
  <si>
    <t>Assumed based on Location Type</t>
  </si>
  <si>
    <t>Construction Cost/SF:</t>
  </si>
  <si>
    <t>Soft Cost (% of Hard):</t>
  </si>
  <si>
    <t>Hard-coded</t>
  </si>
  <si>
    <t>Contingency (%):</t>
  </si>
  <si>
    <t>Interest Rate:</t>
  </si>
  <si>
    <t>Loan-to-Cost:</t>
  </si>
  <si>
    <t>Construction Period (months):</t>
  </si>
  <si>
    <t>Cap Rate:</t>
  </si>
  <si>
    <t>Vacancy Rate:</t>
  </si>
  <si>
    <t>Operating Expense Ratio:</t>
  </si>
  <si>
    <t>Property Tax/Unit (Annual):</t>
  </si>
  <si>
    <t>Hard-coded per unit</t>
  </si>
  <si>
    <t>DEVELOPMENT COSTS</t>
  </si>
  <si>
    <t>Amount</t>
  </si>
  <si>
    <t>Per Unit</t>
  </si>
  <si>
    <t>Land Cost:</t>
  </si>
  <si>
    <t>Calculated; do not do not change</t>
  </si>
  <si>
    <t>Hard Construction Cost:</t>
  </si>
  <si>
    <t>Soft Costs:</t>
  </si>
  <si>
    <t>Contingency:</t>
  </si>
  <si>
    <t>Interest During Construction:</t>
  </si>
  <si>
    <t>Total Development Cost:</t>
  </si>
  <si>
    <t>REVENUE &amp; EXPENSES (Annual)</t>
  </si>
  <si>
    <t>Annual</t>
  </si>
  <si>
    <t>Monthly</t>
  </si>
  <si>
    <t>Gross Rental Income:</t>
  </si>
  <si>
    <t>Less: Vacancy:</t>
  </si>
  <si>
    <t>Effective Gross Income:</t>
  </si>
  <si>
    <t>Operating Expenses:</t>
  </si>
  <si>
    <t>Property Taxes:</t>
  </si>
  <si>
    <t>Net Operating Income (NOI):</t>
  </si>
  <si>
    <t>Debt Service:</t>
  </si>
  <si>
    <t>Cash Flow After Debt Service:</t>
  </si>
  <si>
    <t>RETURN METRICS</t>
  </si>
  <si>
    <t>Stabilized Asset Value:</t>
  </si>
  <si>
    <t>Total Profit:</t>
  </si>
  <si>
    <t>Yield on Cost:</t>
  </si>
  <si>
    <t>Development Spread:</t>
  </si>
  <si>
    <t>Cash-on-Cash Return:</t>
  </si>
  <si>
    <t>Cottage Development: Unit Calculation</t>
  </si>
  <si>
    <t>Based on input in Pro Forma</t>
  </si>
  <si>
    <t>Conversion to square feet; must be &gt;10,000</t>
  </si>
  <si>
    <t>Minimum Lot Size</t>
  </si>
  <si>
    <t>Established by IDO for R-1</t>
  </si>
  <si>
    <t>Units if subdividing:</t>
  </si>
  <si>
    <t>Calculated based on inputs above</t>
  </si>
  <si>
    <t>Total square footage allowed:</t>
  </si>
  <si>
    <t>Maximum number of cottage units at minimum size:</t>
  </si>
  <si>
    <t>Minimum size = 650 s.f.</t>
  </si>
  <si>
    <t>Maximum number of cottage units at maximum size:</t>
  </si>
  <si>
    <t>Maximum size = 1200 s.f.</t>
  </si>
  <si>
    <t>Note: You can decide the size and number of units between the minimum and maximum as long as you do not exceed the total square footage allowed.</t>
  </si>
  <si>
    <t>Context</t>
  </si>
  <si>
    <t>Land Cost by Context</t>
  </si>
  <si>
    <t>Quality Type</t>
  </si>
  <si>
    <t>Cost Multiplier</t>
  </si>
  <si>
    <t>Rent Multiplier</t>
  </si>
  <si>
    <t>Base Rent</t>
  </si>
  <si>
    <t>Affordable</t>
  </si>
  <si>
    <t>Urban</t>
  </si>
  <si>
    <t>Workforce</t>
  </si>
  <si>
    <t>Rural</t>
  </si>
  <si>
    <t>Total s.f. Allowed</t>
  </si>
  <si>
    <t>Calculated based on Cottage Units Calculation Tab; do NOT change</t>
  </si>
  <si>
    <r>
      <t xml:space="preserve">Conversion to square feet (Site must be </t>
    </r>
    <r>
      <rPr>
        <sz val="10"/>
        <color rgb="FF646464"/>
        <rFont val="Aptos Narrow"/>
        <family val="2"/>
      </rPr>
      <t>≥</t>
    </r>
    <r>
      <rPr>
        <i/>
        <sz val="10"/>
        <color rgb="FF646464"/>
        <rFont val="Arial"/>
        <family val="2"/>
      </rPr>
      <t xml:space="preserve"> 10,000 s.f.)</t>
    </r>
  </si>
  <si>
    <t>Please input total size of site in acres (Site must be &lt; 3 acres)</t>
  </si>
  <si>
    <t>Please select Attached or Detached (Attached = 15% cost savings)</t>
  </si>
  <si>
    <t>Please select quality level: Affordable, Workforce, or Luxury (Affects rents)</t>
  </si>
  <si>
    <t>Please select context: Suburban, Urban, or Rural (Affects land costs)</t>
  </si>
  <si>
    <t>Visitor spaces</t>
  </si>
  <si>
    <t>Total Spaces Required</t>
  </si>
  <si>
    <t># Spaces</t>
  </si>
  <si>
    <t>Required Parking Spaces</t>
  </si>
  <si>
    <t>Type of Space</t>
  </si>
  <si>
    <t>Unit spaces</t>
  </si>
  <si>
    <t>Attached</t>
  </si>
  <si>
    <r>
      <rPr>
        <i/>
        <sz val="10"/>
        <color theme="3"/>
        <rFont val="Arial"/>
        <family val="2"/>
      </rPr>
      <t>Financial feasibility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theme="3"/>
        <rFont val="Arial"/>
        <family val="2"/>
      </rPr>
      <t xml:space="preserve"> = rents &gt; development costs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rents &lt; development costs)</t>
    </r>
  </si>
  <si>
    <r>
      <t>Yield above cap rate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rgb="FF646464"/>
        <rFont val="Arial"/>
        <family val="2"/>
      </rPr>
      <t xml:space="preserve"> = &gt; .5% / </t>
    </r>
    <r>
      <rPr>
        <b/>
        <i/>
        <sz val="10"/>
        <color rgb="FFDEA900"/>
        <rFont val="Arial"/>
        <family val="2"/>
      </rPr>
      <t>Orange</t>
    </r>
    <r>
      <rPr>
        <i/>
        <sz val="10"/>
        <color rgb="FF646464"/>
        <rFont val="Arial"/>
        <family val="2"/>
      </rPr>
      <t xml:space="preserve"> = between .5% and -.5%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&lt; -.5%</t>
    </r>
  </si>
  <si>
    <r>
      <t>Profit or loss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rgb="FF646464"/>
        <rFont val="Arial"/>
        <family val="2"/>
      </rPr>
      <t xml:space="preserve"> = profit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loss)</t>
    </r>
  </si>
  <si>
    <r>
      <t>NOI / Total Development Cost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rgb="FF646464"/>
        <rFont val="Arial"/>
        <family val="2"/>
      </rPr>
      <t xml:space="preserve"> = &gt; 6% / </t>
    </r>
    <r>
      <rPr>
        <b/>
        <i/>
        <sz val="10"/>
        <color rgb="FFDEA900"/>
        <rFont val="Arial"/>
        <family val="2"/>
      </rPr>
      <t>Orange</t>
    </r>
    <r>
      <rPr>
        <i/>
        <sz val="10"/>
        <color rgb="FF646464"/>
        <rFont val="Arial"/>
        <family val="2"/>
      </rPr>
      <t xml:space="preserve"> = 5.5-6.0%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&lt; 5.5%)</t>
    </r>
  </si>
  <si>
    <r>
      <t>Return on Investment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rgb="FF646464"/>
        <rFont val="Arial"/>
        <family val="2"/>
      </rPr>
      <t xml:space="preserve"> = Return &gt; 8% / </t>
    </r>
    <r>
      <rPr>
        <b/>
        <i/>
        <sz val="10"/>
        <color rgb="FFDEA900"/>
        <rFont val="Arial"/>
        <family val="2"/>
      </rPr>
      <t>Orange</t>
    </r>
    <r>
      <rPr>
        <i/>
        <sz val="10"/>
        <color rgb="FF646464"/>
        <rFont val="Arial"/>
        <family val="2"/>
      </rPr>
      <t xml:space="preserve"> = return between 6-8%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&lt; 6% return)</t>
    </r>
  </si>
  <si>
    <t>Base $225/SF; adjusted for Construction Type &amp; Quality Type</t>
  </si>
  <si>
    <t>Metric</t>
  </si>
  <si>
    <t>Description</t>
  </si>
  <si>
    <t>Points</t>
  </si>
  <si>
    <t>Basic Competition Requirements</t>
  </si>
  <si>
    <t>Site Plan that meets zoning Requirements</t>
  </si>
  <si>
    <t>Cottage development use-specific standards + parking + landscaping</t>
  </si>
  <si>
    <t>Floor plans</t>
  </si>
  <si>
    <t>For each type of dwelling unit</t>
  </si>
  <si>
    <t>Elevations</t>
  </si>
  <si>
    <t>Project Narrative</t>
  </si>
  <si>
    <t>Description of the project, the site, and why the site was chosen</t>
  </si>
  <si>
    <t>Visual illustration of context fit</t>
  </si>
  <si>
    <t>Context map or rendering showing how the project fits into the surrounding neighborhood</t>
  </si>
  <si>
    <t>Map/diagram of access/mobility</t>
  </si>
  <si>
    <t>Map or diagram illustrating how the project provides transportation access to nearby services and/or amenities to support safe and efficient mobility for its residents</t>
  </si>
  <si>
    <t>Units with Universal Design</t>
  </si>
  <si>
    <t>Minimum = 2 units</t>
  </si>
  <si>
    <t>Universal Design Narrative</t>
  </si>
  <si>
    <t>Narrative summary of universal design elements incorporated into the design to create age-friendly housing and support aging in place.</t>
  </si>
  <si>
    <t>Universal Design List</t>
  </si>
  <si>
    <t>Universal design elements incorporated into the design of at least two dwelling units</t>
  </si>
  <si>
    <t>Pro forma</t>
  </si>
  <si>
    <t>Requirement = filled out with site acreage, location type, quality type, and number of each unit type</t>
  </si>
  <si>
    <t>Narrative of context fit and access/mobility</t>
  </si>
  <si>
    <t>Narrative description of how the design fits into the neighborhood context and promotes transportation access / mobility for residents</t>
  </si>
  <si>
    <t>Possible Bonus Points</t>
  </si>
  <si>
    <t>Design Innovation</t>
  </si>
  <si>
    <t>Massing, context, arrangement of units</t>
  </si>
  <si>
    <t>Sustainability Component</t>
  </si>
  <si>
    <t>Water collection, carbon reduction, solar gain/ shade, habitat, etc.</t>
  </si>
  <si>
    <t>Communal Amenities</t>
  </si>
  <si>
    <t>Shared kitchen/designing, guest bedroom, etc.</t>
  </si>
  <si>
    <t>Excellence in Age-friendly Housing</t>
  </si>
  <si>
    <t>Designed for needs as folks age, low-cost, connections to nearby services, etc.</t>
  </si>
  <si>
    <t>Total Possible Points</t>
  </si>
  <si>
    <t>Scale for Points</t>
  </si>
  <si>
    <t>3 = Exceeds expectations/requirements</t>
  </si>
  <si>
    <t>2 = Meets expectations/requirements</t>
  </si>
  <si>
    <t>1 = Below expectations / requirements</t>
  </si>
  <si>
    <t>0 = Did not meet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</si>
</sst>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\$#,##0"/>
    <numFmt numFmtId="165" formatCode="_(&quot;$&quot;* #,##0_);_(&quot;$&quot;* \(#,##0\);_(&quot;$&quot;* &quot;-&quot;??_);_(@_)"/>
    <numFmt numFmtId="166" formatCode="0.0%"/>
    <numFmt numFmtId="167" formatCode="\$#,##0;\(\$#,##0\)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i/>
      <sz val="10"/>
      <color rgb="FFFF0000"/>
      <name val="Arial"/>
      <family val="2"/>
    </font>
    <font>
      <i/>
      <sz val="10"/>
      <color rgb="FF646464"/>
      <name val="Arial"/>
      <family val="2"/>
    </font>
    <font>
      <b/>
      <sz val="10"/>
      <color rgb="FF000000"/>
      <name val="Arial"/>
      <family val="2"/>
    </font>
    <font>
      <i/>
      <sz val="11"/>
      <color rgb="FFFF0000"/>
      <name val="Calibri"/>
      <family val="2"/>
      <scheme val="minor"/>
    </font>
    <font>
      <i/>
      <sz val="10"/>
      <color theme="0" tint="-0.49998474074526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646464"/>
      <name val="Aptos Narrow"/>
      <family val="2"/>
    </font>
    <font>
      <b/>
      <sz val="11"/>
      <color theme="1"/>
      <name val="Calibri"/>
      <family val="2"/>
      <scheme val="minor"/>
    </font>
    <font>
      <i/>
      <sz val="10"/>
      <color rgb="FFFF0000"/>
      <name val="Arial"/>
      <family val="2"/>
    </font>
    <font>
      <i/>
      <sz val="10"/>
      <color rgb="FF646464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i/>
      <sz val="10"/>
      <color theme="0" tint="-0.499984740745262"/>
      <name val="Arial"/>
      <family val="2"/>
    </font>
    <font>
      <i/>
      <sz val="10"/>
      <color theme="3"/>
      <name val="Arial"/>
      <family val="2"/>
    </font>
    <font>
      <b/>
      <i/>
      <sz val="10"/>
      <color rgb="FFDEA900"/>
      <name val="Arial"/>
      <family val="2"/>
    </font>
    <font>
      <b/>
      <i/>
      <sz val="10"/>
      <color theme="9" tint="-0.249977111117893"/>
      <name val="Arial"/>
      <family val="2"/>
    </font>
    <font>
      <b/>
      <i/>
      <sz val="10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DCE6F1"/>
      </patternFill>
    </fill>
    <fill>
      <patternFill patternType="solid">
        <fgColor rgb="FFFFFFE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top"/>
    </xf>
    <xf numFmtId="44" fontId="13" fillId="0" borderId="0" applyFont="0" applyFill="0" applyBorder="0" applyAlignment="0" applyProtection="0"/>
    <xf numFmtId="0" fontId="1" fillId="0" borderId="0"/>
  </cellStyleXfs>
  <cellXfs count="52">
    <xf numFmtId="0" fontId="0" fillId="0" borderId="0" xfId="0">
      <alignment vertical="top"/>
    </xf>
    <xf numFmtId="3" fontId="19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4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6" fillId="3" borderId="0" xfId="0" applyFont="1" applyFill="1" applyAlignment="1">
      <alignment horizontal="righ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3" fillId="2" borderId="0" xfId="0" applyFont="1" applyFill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10" fillId="0" borderId="0" xfId="0" applyFont="1">
      <alignment vertical="top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5" fillId="4" borderId="0" xfId="0" applyNumberFormat="1" applyFont="1" applyFill="1" applyAlignment="1">
      <alignment horizontal="right"/>
    </xf>
    <xf numFmtId="165" fontId="0" fillId="0" borderId="0" xfId="1" applyNumberFormat="1" applyFont="1" applyAlignment="1">
      <alignment vertical="top"/>
    </xf>
    <xf numFmtId="9" fontId="5" fillId="4" borderId="0" xfId="0" applyNumberFormat="1" applyFont="1" applyFill="1" applyAlignment="1">
      <alignment horizontal="right"/>
    </xf>
    <xf numFmtId="166" fontId="5" fillId="4" borderId="0" xfId="0" applyNumberFormat="1" applyFont="1" applyFill="1" applyAlignment="1">
      <alignment horizontal="right"/>
    </xf>
    <xf numFmtId="1" fontId="5" fillId="4" borderId="0" xfId="0" applyNumberFormat="1" applyFont="1" applyFill="1" applyAlignment="1">
      <alignment horizontal="right"/>
    </xf>
    <xf numFmtId="167" fontId="5" fillId="0" borderId="0" xfId="0" applyNumberFormat="1" applyFont="1" applyAlignment="1">
      <alignment horizontal="right"/>
    </xf>
    <xf numFmtId="167" fontId="9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10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12" fillId="0" borderId="0" xfId="0" applyFont="1">
      <alignment vertical="top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8" fillId="0" borderId="1" xfId="0" applyFont="1" applyBorder="1" applyAlignment="1">
      <alignment horizontal="left"/>
    </xf>
    <xf numFmtId="0" fontId="20" fillId="2" borderId="0" xfId="0" applyFont="1" applyFill="1" applyAlignment="1">
      <alignment horizontal="left"/>
    </xf>
    <xf numFmtId="0" fontId="2" fillId="0" borderId="3" xfId="0" applyFont="1" applyBorder="1">
      <alignment vertical="top"/>
    </xf>
    <xf numFmtId="0" fontId="0" fillId="5" borderId="3" xfId="0" applyFill="1" applyBorder="1">
      <alignment vertical="top"/>
    </xf>
    <xf numFmtId="0" fontId="0" fillId="0" borderId="3" xfId="0" applyBorder="1">
      <alignment vertical="top"/>
    </xf>
    <xf numFmtId="0" fontId="15" fillId="6" borderId="0" xfId="0" applyFont="1" applyFill="1">
      <alignment vertical="top"/>
    </xf>
    <xf numFmtId="3" fontId="15" fillId="6" borderId="0" xfId="0" applyNumberFormat="1" applyFont="1" applyFill="1">
      <alignment vertical="top"/>
    </xf>
    <xf numFmtId="0" fontId="21" fillId="0" borderId="1" xfId="0" applyFont="1" applyBorder="1" applyAlignment="1">
      <alignment horizontal="left"/>
    </xf>
    <xf numFmtId="0" fontId="1" fillId="7" borderId="0" xfId="2" applyFill="1"/>
    <xf numFmtId="0" fontId="1" fillId="0" borderId="0" xfId="2"/>
    <xf numFmtId="0" fontId="26" fillId="8" borderId="0" xfId="2" applyFont="1" applyFill="1"/>
    <xf numFmtId="0" fontId="27" fillId="8" borderId="0" xfId="2" applyFont="1" applyFill="1"/>
    <xf numFmtId="0" fontId="12" fillId="0" borderId="0" xfId="2" applyFont="1" applyAlignment="1">
      <alignment horizontal="right"/>
    </xf>
    <xf numFmtId="0" fontId="12" fillId="0" borderId="0" xfId="2" applyFont="1"/>
  </cellXfs>
  <cellStyles count="3">
    <cellStyle name="Currency" xfId="1" builtinId="4"/>
    <cellStyle name="Normal" xfId="0" builtinId="0"/>
    <cellStyle name="Normal 2" xfId="2" xr:uid="{7DDEAECF-4F79-49B6-A0C3-1A8F522CACC0}"/>
  </cellStyles>
  <dxfs count="1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0000"/>
      </font>
    </dxf>
    <dxf>
      <font>
        <color rgb="FFFF8C00"/>
      </font>
    </dxf>
    <dxf>
      <font>
        <color rgb="FF008000"/>
      </font>
    </dxf>
    <dxf>
      <font>
        <color rgb="FFFF0000"/>
      </font>
    </dxf>
    <dxf>
      <font>
        <color rgb="FFFF8C00"/>
      </font>
    </dxf>
    <dxf>
      <font>
        <color rgb="FF008000"/>
      </font>
    </dxf>
    <dxf>
      <font>
        <color rgb="FFFF0000"/>
      </font>
    </dxf>
    <dxf>
      <font>
        <color rgb="FFFF8C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FF8C00"/>
      </font>
    </dxf>
    <dxf>
      <font>
        <color rgb="FF008000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EA900"/>
      <color rgb="FFEEB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142875</xdr:rowOff>
    </xdr:from>
    <xdr:to>
      <xdr:col>13</xdr:col>
      <xdr:colOff>228603</xdr:colOff>
      <xdr:row>6</xdr:row>
      <xdr:rowOff>142877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4EE671-0E3A-5DD2-AB12-91079887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142875"/>
          <a:ext cx="1600203" cy="1143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1392-3E39-4F50-97F0-87B626913CAA}">
  <dimension ref="A1:J56"/>
  <sheetViews>
    <sheetView showGridLines="0" zoomScale="120" zoomScaleNormal="120" workbookViewId="0">
      <selection activeCell="B12" sqref="B12"/>
    </sheetView>
  </sheetViews>
  <sheetFormatPr defaultColWidth="6.88671875" defaultRowHeight="15" customHeight="1" x14ac:dyDescent="0.3"/>
  <cols>
    <col min="1" max="1" width="28" customWidth="1"/>
    <col min="2" max="3" width="14" customWidth="1"/>
    <col min="4" max="4" width="18.44140625" customWidth="1"/>
    <col min="10" max="10" width="8" customWidth="1"/>
  </cols>
  <sheetData>
    <row r="1" spans="1:5" ht="15" customHeight="1" x14ac:dyDescent="0.25">
      <c r="A1" s="2" t="s">
        <v>0</v>
      </c>
      <c r="B1" s="3"/>
      <c r="C1" s="3"/>
      <c r="D1" s="3"/>
    </row>
    <row r="2" spans="1:5" ht="15" customHeight="1" x14ac:dyDescent="0.25">
      <c r="A2" s="4" t="s">
        <v>1</v>
      </c>
      <c r="B2" s="5"/>
      <c r="C2" s="5"/>
      <c r="D2" s="5"/>
    </row>
    <row r="3" spans="1:5" ht="15" customHeight="1" x14ac:dyDescent="0.25">
      <c r="A3" s="6"/>
      <c r="B3" s="5"/>
      <c r="C3" s="5"/>
      <c r="D3" s="5"/>
    </row>
    <row r="4" spans="1:5" ht="15" customHeight="1" x14ac:dyDescent="0.25">
      <c r="A4" s="2" t="s">
        <v>2</v>
      </c>
      <c r="B4" s="3"/>
      <c r="C4" s="3"/>
      <c r="D4" s="3"/>
    </row>
    <row r="5" spans="1:5" ht="15" customHeight="1" x14ac:dyDescent="0.25">
      <c r="A5" s="6"/>
      <c r="B5" s="5"/>
      <c r="C5" s="5"/>
      <c r="D5" s="5"/>
    </row>
    <row r="6" spans="1:5" ht="15" customHeight="1" x14ac:dyDescent="0.25">
      <c r="A6" s="6" t="s">
        <v>3</v>
      </c>
      <c r="B6" s="7">
        <v>1.29</v>
      </c>
      <c r="C6" s="35" t="s">
        <v>91</v>
      </c>
      <c r="D6" s="9"/>
    </row>
    <row r="7" spans="1:5" ht="15" customHeight="1" x14ac:dyDescent="0.3">
      <c r="A7" s="6" t="s">
        <v>4</v>
      </c>
      <c r="B7" s="10">
        <f>B6*43560</f>
        <v>56192.4</v>
      </c>
      <c r="C7" s="33" t="s">
        <v>90</v>
      </c>
      <c r="D7" s="9"/>
    </row>
    <row r="8" spans="1:5" ht="15" customHeight="1" x14ac:dyDescent="0.25">
      <c r="A8" s="34" t="s">
        <v>88</v>
      </c>
      <c r="B8" s="1">
        <f>'Cottage Units Calculation'!B6</f>
        <v>32109.942857142854</v>
      </c>
      <c r="C8" s="33" t="s">
        <v>89</v>
      </c>
      <c r="D8" s="9"/>
    </row>
    <row r="9" spans="1:5" ht="15" customHeight="1" x14ac:dyDescent="0.25">
      <c r="A9" s="6" t="s">
        <v>5</v>
      </c>
      <c r="B9" s="7" t="s">
        <v>6</v>
      </c>
      <c r="C9" s="35" t="s">
        <v>94</v>
      </c>
      <c r="D9" s="9"/>
    </row>
    <row r="10" spans="1:5" ht="15" customHeight="1" x14ac:dyDescent="0.3">
      <c r="A10" s="6" t="s">
        <v>7</v>
      </c>
      <c r="B10" s="10">
        <f>SUMPRODUCT(B15:B17,C15:C17)</f>
        <v>21900</v>
      </c>
      <c r="C10" s="11" t="s">
        <v>8</v>
      </c>
      <c r="D10" s="9"/>
    </row>
    <row r="11" spans="1:5" ht="15" customHeight="1" x14ac:dyDescent="0.25">
      <c r="A11" s="6" t="s">
        <v>9</v>
      </c>
      <c r="B11" s="7" t="s">
        <v>101</v>
      </c>
      <c r="C11" s="35" t="s">
        <v>92</v>
      </c>
      <c r="D11" s="9"/>
    </row>
    <row r="12" spans="1:5" ht="15" customHeight="1" x14ac:dyDescent="0.25">
      <c r="A12" s="6" t="s">
        <v>10</v>
      </c>
      <c r="B12" s="7" t="s">
        <v>11</v>
      </c>
      <c r="C12" s="35" t="s">
        <v>93</v>
      </c>
      <c r="D12" s="9"/>
    </row>
    <row r="13" spans="1:5" ht="15" customHeight="1" x14ac:dyDescent="0.25">
      <c r="A13" s="2" t="s">
        <v>12</v>
      </c>
      <c r="B13" s="12"/>
      <c r="C13" s="12"/>
      <c r="D13" s="12"/>
    </row>
    <row r="14" spans="1:5" ht="15" customHeight="1" x14ac:dyDescent="0.25">
      <c r="A14" s="13" t="s">
        <v>13</v>
      </c>
      <c r="B14" s="14" t="s">
        <v>14</v>
      </c>
      <c r="C14" s="14" t="s">
        <v>15</v>
      </c>
      <c r="D14" s="14" t="s">
        <v>16</v>
      </c>
    </row>
    <row r="15" spans="1:5" ht="15" customHeight="1" x14ac:dyDescent="0.25">
      <c r="A15" s="6" t="s">
        <v>17</v>
      </c>
      <c r="B15" s="7">
        <v>6</v>
      </c>
      <c r="C15" s="9">
        <v>650</v>
      </c>
      <c r="D15" s="15">
        <f>_xlfn.XLOOKUP(A15,'Land Cost by Context'!H2:H4,'Land Cost by Context'!I2:I4)*_xlfn.XLOOKUP(B12,'Land Cost by Context'!D2:D4,'Land Cost by Context'!F2:F4,1)</f>
        <v>1600</v>
      </c>
      <c r="E15" s="16" t="s">
        <v>18</v>
      </c>
    </row>
    <row r="16" spans="1:5" ht="15" customHeight="1" x14ac:dyDescent="0.25">
      <c r="A16" s="6" t="s">
        <v>19</v>
      </c>
      <c r="B16" s="7">
        <v>12</v>
      </c>
      <c r="C16" s="9">
        <v>900</v>
      </c>
      <c r="D16" s="15">
        <f>_xlfn.XLOOKUP(A16,'Land Cost by Context'!H2:H4,'Land Cost by Context'!I2:I4)*_xlfn.XLOOKUP(B12,'Land Cost by Context'!D2:D4,'Land Cost by Context'!F2:F4,1)</f>
        <v>2200</v>
      </c>
      <c r="E16" s="16" t="s">
        <v>18</v>
      </c>
    </row>
    <row r="17" spans="1:10" ht="15" customHeight="1" x14ac:dyDescent="0.25">
      <c r="A17" s="6" t="s">
        <v>20</v>
      </c>
      <c r="B17" s="7">
        <v>6</v>
      </c>
      <c r="C17" s="9">
        <v>1200</v>
      </c>
      <c r="D17" s="15">
        <f>_xlfn.XLOOKUP(A17,'Land Cost by Context'!H2:H4,'Land Cost by Context'!I2:I4)*_xlfn.XLOOKUP(B12,'Land Cost by Context'!D2:D4,'Land Cost by Context'!F2:F4,1)</f>
        <v>2600</v>
      </c>
      <c r="E17" s="16" t="s">
        <v>18</v>
      </c>
    </row>
    <row r="18" spans="1:10" ht="15" customHeight="1" x14ac:dyDescent="0.25">
      <c r="A18" s="17" t="s">
        <v>21</v>
      </c>
      <c r="B18" s="18">
        <f>SUM(B15:B17)</f>
        <v>24</v>
      </c>
      <c r="C18" s="19" t="s">
        <v>22</v>
      </c>
      <c r="D18" s="18">
        <f>SUMPRODUCT(B15:B17,C15:C17)</f>
        <v>21900</v>
      </c>
    </row>
    <row r="19" spans="1:10" ht="15" customHeight="1" x14ac:dyDescent="0.25">
      <c r="A19" s="6"/>
      <c r="B19" s="9"/>
      <c r="C19" s="9"/>
      <c r="D19" s="9"/>
    </row>
    <row r="20" spans="1:10" ht="15" customHeight="1" x14ac:dyDescent="0.25">
      <c r="A20" s="20" t="s">
        <v>23</v>
      </c>
      <c r="B20" s="21"/>
      <c r="C20" s="21"/>
      <c r="D20" s="21"/>
    </row>
    <row r="21" spans="1:10" ht="15" customHeight="1" x14ac:dyDescent="0.25">
      <c r="A21" s="6" t="s">
        <v>24</v>
      </c>
      <c r="B21" s="22">
        <f>_xlfn.XLOOKUP(B9,'Land Cost by Context'!A2:A4,'Land Cost by Context'!B2:B4)</f>
        <v>25</v>
      </c>
      <c r="C21" s="11" t="s">
        <v>25</v>
      </c>
      <c r="D21" s="9"/>
    </row>
    <row r="22" spans="1:10" ht="15" customHeight="1" x14ac:dyDescent="0.25">
      <c r="A22" s="6" t="s">
        <v>26</v>
      </c>
      <c r="B22" s="22">
        <f>225*IF(B11="Attached",0.85,1)*_xlfn.XLOOKUP(B12,'Land Cost by Context'!D2:D4,'Land Cost by Context'!E2:E4,1)</f>
        <v>210.37500000000003</v>
      </c>
      <c r="C22" s="11" t="s">
        <v>107</v>
      </c>
      <c r="D22" s="9"/>
      <c r="J22" s="23"/>
    </row>
    <row r="23" spans="1:10" ht="15" customHeight="1" x14ac:dyDescent="0.25">
      <c r="A23" s="6" t="s">
        <v>27</v>
      </c>
      <c r="B23" s="24">
        <v>0.2</v>
      </c>
      <c r="C23" s="11" t="s">
        <v>28</v>
      </c>
      <c r="D23" s="9"/>
    </row>
    <row r="24" spans="1:10" ht="15" customHeight="1" x14ac:dyDescent="0.25">
      <c r="A24" s="6" t="s">
        <v>29</v>
      </c>
      <c r="B24" s="24">
        <v>0.05</v>
      </c>
      <c r="C24" s="11" t="s">
        <v>28</v>
      </c>
      <c r="D24" s="9"/>
    </row>
    <row r="25" spans="1:10" ht="15" customHeight="1" x14ac:dyDescent="0.25">
      <c r="A25" s="6" t="s">
        <v>30</v>
      </c>
      <c r="B25" s="25">
        <v>7.4999999999999997E-2</v>
      </c>
      <c r="C25" s="11" t="s">
        <v>28</v>
      </c>
      <c r="D25" s="9"/>
    </row>
    <row r="26" spans="1:10" ht="15" customHeight="1" x14ac:dyDescent="0.25">
      <c r="A26" s="6" t="s">
        <v>31</v>
      </c>
      <c r="B26" s="25">
        <v>0.75</v>
      </c>
      <c r="C26" s="11" t="s">
        <v>28</v>
      </c>
      <c r="D26" s="9"/>
    </row>
    <row r="27" spans="1:10" ht="15" customHeight="1" x14ac:dyDescent="0.25">
      <c r="A27" s="6" t="s">
        <v>32</v>
      </c>
      <c r="B27" s="26">
        <v>14</v>
      </c>
      <c r="C27" s="11" t="s">
        <v>28</v>
      </c>
      <c r="D27" s="9"/>
    </row>
    <row r="28" spans="1:10" ht="15" customHeight="1" x14ac:dyDescent="0.25">
      <c r="A28" s="6" t="s">
        <v>33</v>
      </c>
      <c r="B28" s="25">
        <v>5.5E-2</v>
      </c>
      <c r="C28" s="11" t="s">
        <v>28</v>
      </c>
      <c r="D28" s="9"/>
    </row>
    <row r="29" spans="1:10" ht="15" customHeight="1" x14ac:dyDescent="0.25">
      <c r="A29" s="6" t="s">
        <v>34</v>
      </c>
      <c r="B29" s="25">
        <v>0.05</v>
      </c>
      <c r="C29" s="11" t="s">
        <v>28</v>
      </c>
      <c r="D29" s="9"/>
    </row>
    <row r="30" spans="1:10" ht="15" customHeight="1" x14ac:dyDescent="0.25">
      <c r="A30" s="6" t="s">
        <v>35</v>
      </c>
      <c r="B30" s="25">
        <v>0.37</v>
      </c>
      <c r="C30" s="11" t="s">
        <v>28</v>
      </c>
      <c r="D30" s="9"/>
    </row>
    <row r="31" spans="1:10" ht="15" customHeight="1" x14ac:dyDescent="0.25">
      <c r="A31" s="6" t="s">
        <v>36</v>
      </c>
      <c r="B31" s="22">
        <v>1200</v>
      </c>
      <c r="C31" s="11" t="s">
        <v>37</v>
      </c>
      <c r="D31" s="9"/>
    </row>
    <row r="32" spans="1:10" ht="15" customHeight="1" x14ac:dyDescent="0.25">
      <c r="A32" s="6"/>
      <c r="B32" s="9"/>
      <c r="C32" s="9"/>
      <c r="D32" s="9"/>
    </row>
    <row r="33" spans="1:4" ht="15" customHeight="1" x14ac:dyDescent="0.25">
      <c r="A33" s="2" t="s">
        <v>38</v>
      </c>
      <c r="B33" s="12" t="s">
        <v>39</v>
      </c>
      <c r="C33" s="12" t="s">
        <v>40</v>
      </c>
      <c r="D33" s="12"/>
    </row>
    <row r="34" spans="1:4" ht="15" customHeight="1" x14ac:dyDescent="0.25">
      <c r="A34" s="6" t="s">
        <v>41</v>
      </c>
      <c r="B34" s="27">
        <f>B7*B21</f>
        <v>1404810</v>
      </c>
      <c r="C34" s="27">
        <f>B34/B18</f>
        <v>58533.75</v>
      </c>
      <c r="D34" s="11" t="s">
        <v>42</v>
      </c>
    </row>
    <row r="35" spans="1:4" ht="15" customHeight="1" x14ac:dyDescent="0.25">
      <c r="A35" s="6" t="s">
        <v>43</v>
      </c>
      <c r="B35" s="27">
        <f>D18*B22</f>
        <v>4607212.5000000009</v>
      </c>
      <c r="C35" s="27">
        <f>B35/B18</f>
        <v>191967.18750000003</v>
      </c>
      <c r="D35" s="11" t="s">
        <v>42</v>
      </c>
    </row>
    <row r="36" spans="1:4" ht="15" customHeight="1" x14ac:dyDescent="0.25">
      <c r="A36" s="6" t="s">
        <v>44</v>
      </c>
      <c r="B36" s="27">
        <f>B35*B23</f>
        <v>921442.50000000023</v>
      </c>
      <c r="C36" s="27">
        <f>B36/B18</f>
        <v>38393.437500000007</v>
      </c>
      <c r="D36" s="11" t="s">
        <v>42</v>
      </c>
    </row>
    <row r="37" spans="1:4" ht="15" customHeight="1" x14ac:dyDescent="0.25">
      <c r="A37" s="6" t="s">
        <v>45</v>
      </c>
      <c r="B37" s="27">
        <f>(B34+B35+B36)*B24</f>
        <v>346673.25000000006</v>
      </c>
      <c r="C37" s="27">
        <f>B37/B18</f>
        <v>14444.718750000002</v>
      </c>
      <c r="D37" s="11" t="s">
        <v>42</v>
      </c>
    </row>
    <row r="38" spans="1:4" ht="15" customHeight="1" x14ac:dyDescent="0.25">
      <c r="A38" s="6" t="s">
        <v>46</v>
      </c>
      <c r="B38" s="27">
        <f>(B34+B35+B36)*B26*B25*(B27/12)*0.5</f>
        <v>227504.32031250006</v>
      </c>
      <c r="C38" s="27">
        <f>B38/B18</f>
        <v>9479.3466796875018</v>
      </c>
      <c r="D38" s="11" t="s">
        <v>42</v>
      </c>
    </row>
    <row r="39" spans="1:4" ht="15" customHeight="1" x14ac:dyDescent="0.25">
      <c r="A39" s="17" t="s">
        <v>47</v>
      </c>
      <c r="B39" s="28">
        <f>SUM(B34:B38)</f>
        <v>7507642.5703125009</v>
      </c>
      <c r="C39" s="28">
        <f>B39/B18</f>
        <v>312818.44042968756</v>
      </c>
      <c r="D39" s="11" t="s">
        <v>42</v>
      </c>
    </row>
    <row r="40" spans="1:4" ht="15" customHeight="1" x14ac:dyDescent="0.25">
      <c r="A40" s="6"/>
      <c r="B40" s="9"/>
      <c r="C40" s="9"/>
      <c r="D40" s="9"/>
    </row>
    <row r="41" spans="1:4" ht="15" customHeight="1" x14ac:dyDescent="0.25">
      <c r="A41" s="2" t="s">
        <v>48</v>
      </c>
      <c r="B41" s="12" t="s">
        <v>49</v>
      </c>
      <c r="C41" s="12" t="s">
        <v>50</v>
      </c>
      <c r="D41" s="12"/>
    </row>
    <row r="42" spans="1:4" ht="15" customHeight="1" x14ac:dyDescent="0.25">
      <c r="A42" s="6" t="s">
        <v>51</v>
      </c>
      <c r="B42" s="27">
        <f>SUMPRODUCT(B15:B17,D15:D17)*12</f>
        <v>619200</v>
      </c>
      <c r="C42" s="27">
        <f t="shared" ref="C42:C49" si="0">B42/12</f>
        <v>51600</v>
      </c>
      <c r="D42" s="11" t="s">
        <v>42</v>
      </c>
    </row>
    <row r="43" spans="1:4" ht="15" customHeight="1" x14ac:dyDescent="0.25">
      <c r="A43" s="6" t="s">
        <v>52</v>
      </c>
      <c r="B43" s="27">
        <f>B42*B29</f>
        <v>30960</v>
      </c>
      <c r="C43" s="27">
        <f t="shared" si="0"/>
        <v>2580</v>
      </c>
      <c r="D43" s="11" t="s">
        <v>42</v>
      </c>
    </row>
    <row r="44" spans="1:4" ht="15" customHeight="1" x14ac:dyDescent="0.25">
      <c r="A44" s="6" t="s">
        <v>53</v>
      </c>
      <c r="B44" s="27">
        <f t="shared" ref="B44:B49" si="1">B42-B43</f>
        <v>588240</v>
      </c>
      <c r="C44" s="27">
        <f t="shared" si="0"/>
        <v>49020</v>
      </c>
      <c r="D44" s="11" t="s">
        <v>42</v>
      </c>
    </row>
    <row r="45" spans="1:4" ht="15" customHeight="1" x14ac:dyDescent="0.25">
      <c r="A45" s="6" t="s">
        <v>54</v>
      </c>
      <c r="B45" s="27">
        <f>B44*B30</f>
        <v>217648.8</v>
      </c>
      <c r="C45" s="27">
        <f t="shared" si="0"/>
        <v>18137.399999999998</v>
      </c>
      <c r="D45" s="11" t="s">
        <v>42</v>
      </c>
    </row>
    <row r="46" spans="1:4" ht="15" customHeight="1" x14ac:dyDescent="0.25">
      <c r="A46" s="6" t="s">
        <v>55</v>
      </c>
      <c r="B46" s="27">
        <f>B31*B18</f>
        <v>28800</v>
      </c>
      <c r="C46" s="27">
        <f t="shared" si="0"/>
        <v>2400</v>
      </c>
      <c r="D46" s="11" t="s">
        <v>42</v>
      </c>
    </row>
    <row r="47" spans="1:4" ht="15" customHeight="1" x14ac:dyDescent="0.25">
      <c r="A47" s="17" t="s">
        <v>56</v>
      </c>
      <c r="B47" s="28">
        <f>B44-B45-B46</f>
        <v>341791.2</v>
      </c>
      <c r="C47" s="28">
        <f t="shared" si="0"/>
        <v>28482.600000000002</v>
      </c>
      <c r="D47" s="29" t="s">
        <v>42</v>
      </c>
    </row>
    <row r="48" spans="1:4" ht="15" customHeight="1" x14ac:dyDescent="0.25">
      <c r="A48" s="17" t="s">
        <v>57</v>
      </c>
      <c r="B48" s="28">
        <f>B39*B26*B25</f>
        <v>422304.89458007819</v>
      </c>
      <c r="C48" s="28">
        <f t="shared" si="0"/>
        <v>35192.07454833985</v>
      </c>
      <c r="D48" s="29" t="s">
        <v>42</v>
      </c>
    </row>
    <row r="49" spans="1:4" ht="15" customHeight="1" x14ac:dyDescent="0.25">
      <c r="A49" s="17" t="s">
        <v>58</v>
      </c>
      <c r="B49" s="28">
        <f t="shared" si="1"/>
        <v>-80513.694580078183</v>
      </c>
      <c r="C49" s="28">
        <f t="shared" si="0"/>
        <v>-6709.4745483398483</v>
      </c>
      <c r="D49" s="45" t="s">
        <v>42</v>
      </c>
    </row>
    <row r="50" spans="1:4" ht="15" customHeight="1" x14ac:dyDescent="0.25">
      <c r="A50" s="6"/>
      <c r="B50" s="9"/>
      <c r="C50" s="9"/>
      <c r="D50" s="9"/>
    </row>
    <row r="51" spans="1:4" ht="15" customHeight="1" x14ac:dyDescent="0.25">
      <c r="A51" s="2" t="s">
        <v>59</v>
      </c>
      <c r="B51" s="12"/>
      <c r="C51" s="12"/>
      <c r="D51" s="12"/>
    </row>
    <row r="52" spans="1:4" ht="15" customHeight="1" x14ac:dyDescent="0.25">
      <c r="A52" s="6" t="s">
        <v>60</v>
      </c>
      <c r="B52" s="27">
        <f>B47/B28</f>
        <v>6214385.4545454551</v>
      </c>
      <c r="C52" s="33" t="s">
        <v>102</v>
      </c>
      <c r="D52" s="9"/>
    </row>
    <row r="53" spans="1:4" ht="15" customHeight="1" x14ac:dyDescent="0.25">
      <c r="A53" s="6" t="s">
        <v>61</v>
      </c>
      <c r="B53" s="27">
        <f>B52-B39</f>
        <v>-1293257.1157670459</v>
      </c>
      <c r="C53" s="33" t="s">
        <v>104</v>
      </c>
      <c r="D53" s="9"/>
    </row>
    <row r="54" spans="1:4" ht="15" customHeight="1" x14ac:dyDescent="0.25">
      <c r="A54" s="6" t="s">
        <v>62</v>
      </c>
      <c r="B54" s="30">
        <f>B47/B39</f>
        <v>4.5525768814773659E-2</v>
      </c>
      <c r="C54" s="33" t="s">
        <v>105</v>
      </c>
      <c r="D54" s="9"/>
    </row>
    <row r="55" spans="1:4" ht="15" customHeight="1" x14ac:dyDescent="0.25">
      <c r="A55" s="6" t="s">
        <v>63</v>
      </c>
      <c r="B55" s="30">
        <f>B54-B28</f>
        <v>-9.4742311852263408E-3</v>
      </c>
      <c r="C55" s="33" t="s">
        <v>103</v>
      </c>
      <c r="D55" s="9"/>
    </row>
    <row r="56" spans="1:4" ht="15" customHeight="1" x14ac:dyDescent="0.25">
      <c r="A56" s="6" t="s">
        <v>64</v>
      </c>
      <c r="B56" s="30">
        <f>(B47-B48)/(B39*(1-B26))</f>
        <v>-4.2896924740905375E-2</v>
      </c>
      <c r="C56" s="33" t="s">
        <v>106</v>
      </c>
      <c r="D56" s="9"/>
    </row>
  </sheetData>
  <conditionalFormatting sqref="B6">
    <cfRule type="cellIs" dxfId="17" priority="1" operator="greaterThan">
      <formula>3</formula>
    </cfRule>
  </conditionalFormatting>
  <conditionalFormatting sqref="B7">
    <cfRule type="cellIs" dxfId="16" priority="2" operator="lessThan">
      <formula>10000</formula>
    </cfRule>
  </conditionalFormatting>
  <conditionalFormatting sqref="B52">
    <cfRule type="expression" dxfId="14" priority="12">
      <formula>B52&gt;B39</formula>
    </cfRule>
    <cfRule type="expression" dxfId="13" priority="13">
      <formula>AND(B52&gt;=B39*0.9,B52&lt;=B39)</formula>
    </cfRule>
    <cfRule type="expression" dxfId="12" priority="14">
      <formula>B52&lt;B39*0.9</formula>
    </cfRule>
  </conditionalFormatting>
  <conditionalFormatting sqref="B53">
    <cfRule type="cellIs" dxfId="11" priority="6" operator="greaterThan">
      <formula>0</formula>
    </cfRule>
    <cfRule type="cellIs" dxfId="10" priority="7" operator="lessThan">
      <formula>0</formula>
    </cfRule>
  </conditionalFormatting>
  <conditionalFormatting sqref="B54">
    <cfRule type="expression" dxfId="9" priority="8">
      <formula>B54&gt;0.06</formula>
    </cfRule>
    <cfRule type="expression" dxfId="8" priority="9">
      <formula>AND(B54&gt;=0.055,B54&lt;=0.06)</formula>
    </cfRule>
    <cfRule type="expression" dxfId="7" priority="10">
      <formula>B54&lt;0.055</formula>
    </cfRule>
  </conditionalFormatting>
  <conditionalFormatting sqref="B55">
    <cfRule type="expression" dxfId="6" priority="11">
      <formula>B55&gt;0.005</formula>
    </cfRule>
    <cfRule type="expression" dxfId="5" priority="15">
      <formula>AND(B55&gt;=-0.005,B55&lt;=0.005)</formula>
    </cfRule>
    <cfRule type="expression" dxfId="4" priority="16">
      <formula>B55&lt;-0.005</formula>
    </cfRule>
  </conditionalFormatting>
  <conditionalFormatting sqref="B56">
    <cfRule type="expression" dxfId="3" priority="17">
      <formula>B56&gt;0.08</formula>
    </cfRule>
    <cfRule type="expression" dxfId="2" priority="18">
      <formula>AND(B56&gt;=0.06,B56&lt;=0.08)</formula>
    </cfRule>
    <cfRule type="expression" dxfId="1" priority="19">
      <formula>B56&lt;0.06</formula>
    </cfRule>
  </conditionalFormatting>
  <dataValidations count="2">
    <dataValidation type="list" allowBlank="1" showInputMessage="1" showErrorMessage="1" sqref="B12" xr:uid="{00000000-0002-0000-0000-000000000000}">
      <formula1>"Affordable,Workforce,Luxury"</formula1>
    </dataValidation>
    <dataValidation type="list" allowBlank="1" showInputMessage="1" showErrorMessage="1" sqref="B11" xr:uid="{00000000-0002-0000-0000-000001000000}">
      <formula1>"Attached,Detached"</formula1>
    </dataValidation>
  </dataValidations>
  <pageMargins left="0.7" right="0.7" top="0.75" bottom="0.75" header="0.3" footer="0.3"/>
  <pageSetup orientation="portrait"/>
  <headerFooter>
    <oddHeader>&amp;L&amp;C&amp;R</oddHeader>
    <oddFooter>&amp;L&amp;C&amp;R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greaterThan" id="{00000000-000E-0000-0000-000001000000}">
            <xm:f>'Cottage Units Calculation'!$B$6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40980D-B32E-4BA5-802E-99683DA19DAB}">
          <x14:formula1>
            <xm:f>'Land Cost by Context'!$A$2:$A$4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CF56-2F3B-4BD1-965F-4CD0F709A00D}">
  <dimension ref="A1:D26"/>
  <sheetViews>
    <sheetView tabSelected="1" workbookViewId="0">
      <selection activeCell="A25" sqref="A25"/>
    </sheetView>
  </sheetViews>
  <sheetFormatPr defaultRowHeight="14.4" x14ac:dyDescent="0.3"/>
  <cols>
    <col min="1" max="1" width="35.44140625" style="47" bestFit="1" customWidth="1"/>
    <col min="2" max="2" width="132.77734375" style="47" bestFit="1" customWidth="1"/>
    <col min="3" max="16384" width="8.88671875" style="47"/>
  </cols>
  <sheetData>
    <row r="1" spans="1:3" x14ac:dyDescent="0.3">
      <c r="A1" s="46" t="s">
        <v>108</v>
      </c>
      <c r="B1" s="46" t="s">
        <v>109</v>
      </c>
      <c r="C1" s="46" t="s">
        <v>110</v>
      </c>
    </row>
    <row r="2" spans="1:3" x14ac:dyDescent="0.3">
      <c r="A2" s="48" t="s">
        <v>111</v>
      </c>
      <c r="B2" s="49"/>
      <c r="C2" s="49"/>
    </row>
    <row r="3" spans="1:3" x14ac:dyDescent="0.3">
      <c r="A3" s="47" t="s">
        <v>112</v>
      </c>
      <c r="B3" s="47" t="s">
        <v>113</v>
      </c>
      <c r="C3" s="47">
        <v>3</v>
      </c>
    </row>
    <row r="4" spans="1:3" x14ac:dyDescent="0.3">
      <c r="A4" s="47" t="s">
        <v>114</v>
      </c>
      <c r="B4" s="47" t="s">
        <v>115</v>
      </c>
      <c r="C4" s="47">
        <v>3</v>
      </c>
    </row>
    <row r="5" spans="1:3" x14ac:dyDescent="0.3">
      <c r="A5" s="47" t="s">
        <v>116</v>
      </c>
      <c r="B5" s="47" t="s">
        <v>115</v>
      </c>
      <c r="C5" s="47">
        <v>3</v>
      </c>
    </row>
    <row r="6" spans="1:3" x14ac:dyDescent="0.3">
      <c r="A6" s="47" t="s">
        <v>117</v>
      </c>
      <c r="B6" s="47" t="s">
        <v>118</v>
      </c>
      <c r="C6" s="47">
        <v>3</v>
      </c>
    </row>
    <row r="7" spans="1:3" x14ac:dyDescent="0.3">
      <c r="A7" s="47" t="s">
        <v>119</v>
      </c>
      <c r="B7" s="47" t="s">
        <v>120</v>
      </c>
      <c r="C7" s="47">
        <v>3</v>
      </c>
    </row>
    <row r="8" spans="1:3" x14ac:dyDescent="0.3">
      <c r="A8" s="47" t="s">
        <v>121</v>
      </c>
      <c r="B8" s="47" t="s">
        <v>122</v>
      </c>
      <c r="C8" s="47">
        <v>3</v>
      </c>
    </row>
    <row r="9" spans="1:3" x14ac:dyDescent="0.3">
      <c r="A9" s="47" t="s">
        <v>123</v>
      </c>
      <c r="B9" s="47" t="s">
        <v>124</v>
      </c>
      <c r="C9" s="47">
        <v>3</v>
      </c>
    </row>
    <row r="10" spans="1:3" x14ac:dyDescent="0.3">
      <c r="A10" s="47" t="s">
        <v>125</v>
      </c>
      <c r="B10" s="47" t="s">
        <v>126</v>
      </c>
      <c r="C10" s="47">
        <v>3</v>
      </c>
    </row>
    <row r="11" spans="1:3" x14ac:dyDescent="0.3">
      <c r="A11" s="47" t="s">
        <v>127</v>
      </c>
      <c r="B11" s="47" t="s">
        <v>128</v>
      </c>
      <c r="C11" s="47">
        <v>3</v>
      </c>
    </row>
    <row r="12" spans="1:3" x14ac:dyDescent="0.3">
      <c r="A12" s="47" t="s">
        <v>129</v>
      </c>
      <c r="B12" s="47" t="s">
        <v>130</v>
      </c>
      <c r="C12" s="47">
        <v>3</v>
      </c>
    </row>
    <row r="13" spans="1:3" x14ac:dyDescent="0.3">
      <c r="A13" s="47" t="s">
        <v>131</v>
      </c>
      <c r="B13" s="47" t="s">
        <v>132</v>
      </c>
      <c r="C13" s="47">
        <v>3</v>
      </c>
    </row>
    <row r="14" spans="1:3" x14ac:dyDescent="0.3">
      <c r="A14" s="48" t="s">
        <v>133</v>
      </c>
      <c r="B14" s="49"/>
      <c r="C14" s="49"/>
    </row>
    <row r="15" spans="1:3" x14ac:dyDescent="0.3">
      <c r="A15" s="47" t="s">
        <v>134</v>
      </c>
      <c r="B15" s="47" t="s">
        <v>135</v>
      </c>
      <c r="C15" s="47">
        <v>3</v>
      </c>
    </row>
    <row r="16" spans="1:3" x14ac:dyDescent="0.3">
      <c r="A16" s="47" t="s">
        <v>136</v>
      </c>
      <c r="B16" s="47" t="s">
        <v>137</v>
      </c>
      <c r="C16" s="47">
        <v>3</v>
      </c>
    </row>
    <row r="17" spans="1:4" x14ac:dyDescent="0.3">
      <c r="A17" s="47" t="s">
        <v>138</v>
      </c>
      <c r="B17" s="47" t="s">
        <v>139</v>
      </c>
      <c r="C17" s="47">
        <v>3</v>
      </c>
    </row>
    <row r="18" spans="1:4" x14ac:dyDescent="0.3">
      <c r="A18" s="47" t="s">
        <v>140</v>
      </c>
      <c r="B18" s="47" t="s">
        <v>141</v>
      </c>
      <c r="C18" s="47">
        <v>3</v>
      </c>
    </row>
    <row r="19" spans="1:4" x14ac:dyDescent="0.3">
      <c r="B19" s="50" t="s">
        <v>142</v>
      </c>
      <c r="C19" s="51">
        <f>SUM(C3:C18)</f>
        <v>45</v>
      </c>
    </row>
    <row r="22" spans="1:4" x14ac:dyDescent="0.3">
      <c r="D22" s="51" t="s">
        <v>143</v>
      </c>
    </row>
    <row r="23" spans="1:4" x14ac:dyDescent="0.3">
      <c r="D23" s="47" t="s">
        <v>144</v>
      </c>
    </row>
    <row r="24" spans="1:4" x14ac:dyDescent="0.3">
      <c r="D24" s="47" t="s">
        <v>145</v>
      </c>
    </row>
    <row r="25" spans="1:4" x14ac:dyDescent="0.3">
      <c r="D25" s="47" t="s">
        <v>146</v>
      </c>
    </row>
    <row r="26" spans="1:4" x14ac:dyDescent="0.3">
      <c r="D26" s="47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A504-D015-4562-B38C-DEB8FF66732B}">
  <dimension ref="A1:C5"/>
  <sheetViews>
    <sheetView workbookViewId="0">
      <selection activeCell="B16" sqref="B16"/>
    </sheetView>
  </sheetViews>
  <sheetFormatPr defaultRowHeight="14.4" x14ac:dyDescent="0.3"/>
  <cols>
    <col min="1" max="1" width="24.44140625" bestFit="1" customWidth="1"/>
    <col min="2" max="2" width="9.33203125" bestFit="1" customWidth="1"/>
  </cols>
  <sheetData>
    <row r="1" spans="1:3" x14ac:dyDescent="0.25">
      <c r="A1" s="39" t="s">
        <v>98</v>
      </c>
      <c r="B1" s="12"/>
      <c r="C1" s="12"/>
    </row>
    <row r="2" spans="1:3" x14ac:dyDescent="0.25">
      <c r="A2" s="37" t="s">
        <v>99</v>
      </c>
      <c r="B2" s="14" t="s">
        <v>14</v>
      </c>
      <c r="C2" s="36" t="s">
        <v>97</v>
      </c>
    </row>
    <row r="3" spans="1:3" x14ac:dyDescent="0.25">
      <c r="A3" s="38" t="s">
        <v>100</v>
      </c>
      <c r="B3" s="18">
        <f>'Pro Forma'!B18</f>
        <v>24</v>
      </c>
      <c r="C3" s="18">
        <f>1*B3</f>
        <v>24</v>
      </c>
    </row>
    <row r="4" spans="1:3" x14ac:dyDescent="0.3">
      <c r="A4" s="40" t="s">
        <v>95</v>
      </c>
      <c r="B4" s="41"/>
      <c r="C4" s="42">
        <v>2</v>
      </c>
    </row>
    <row r="5" spans="1:3" x14ac:dyDescent="0.3">
      <c r="A5" s="43" t="s">
        <v>96</v>
      </c>
      <c r="B5" s="43"/>
      <c r="C5" s="44">
        <f>SUM(C3:C4)</f>
        <v>26</v>
      </c>
    </row>
  </sheetData>
  <sheetProtection algorithmName="SHA-512" hashValue="N0S/hqIzK1JHrhM79p2CGSBpNqB1ECMPgdH4KUKCvtPfywG6Ptq/2uYwN0fzbBqyWKg72YWW8kFvRE/nDMdxcg==" saltValue="QqFoTJf5mujoXJZBdoymx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F119-651D-4C17-A483-ECE4A562F68F}">
  <dimension ref="A1:D11"/>
  <sheetViews>
    <sheetView workbookViewId="0"/>
  </sheetViews>
  <sheetFormatPr defaultColWidth="8.88671875" defaultRowHeight="15" customHeight="1" x14ac:dyDescent="0.3"/>
  <cols>
    <col min="1" max="1" width="45.6640625" customWidth="1"/>
  </cols>
  <sheetData>
    <row r="1" spans="1:4" ht="15" customHeight="1" x14ac:dyDescent="0.25">
      <c r="A1" s="2" t="s">
        <v>65</v>
      </c>
      <c r="B1" s="12"/>
      <c r="C1" s="12"/>
      <c r="D1" s="12"/>
    </row>
    <row r="2" spans="1:4" ht="15" customHeight="1" x14ac:dyDescent="0.25">
      <c r="A2" s="6" t="s">
        <v>3</v>
      </c>
      <c r="B2" s="7">
        <f>'Pro Forma'!B6</f>
        <v>1.29</v>
      </c>
      <c r="C2" s="8" t="s">
        <v>66</v>
      </c>
      <c r="D2" s="9"/>
    </row>
    <row r="3" spans="1:4" ht="15" customHeight="1" x14ac:dyDescent="0.25">
      <c r="A3" s="6" t="s">
        <v>4</v>
      </c>
      <c r="B3" s="10">
        <f>B2*43560</f>
        <v>56192.4</v>
      </c>
      <c r="C3" s="11" t="s">
        <v>67</v>
      </c>
      <c r="D3" s="9"/>
    </row>
    <row r="4" spans="1:4" ht="15" customHeight="1" x14ac:dyDescent="0.25">
      <c r="A4" s="6" t="s">
        <v>68</v>
      </c>
      <c r="B4" s="10">
        <v>3500</v>
      </c>
      <c r="C4" s="11" t="s">
        <v>69</v>
      </c>
      <c r="D4" s="9"/>
    </row>
    <row r="5" spans="1:4" ht="15" customHeight="1" x14ac:dyDescent="0.25">
      <c r="A5" s="6" t="s">
        <v>70</v>
      </c>
      <c r="B5" s="31">
        <f>B3/B4</f>
        <v>16.054971428571427</v>
      </c>
      <c r="C5" s="11" t="s">
        <v>71</v>
      </c>
      <c r="D5" s="9"/>
    </row>
    <row r="6" spans="1:4" ht="15" customHeight="1" x14ac:dyDescent="0.25">
      <c r="A6" s="13" t="s">
        <v>72</v>
      </c>
      <c r="B6" s="32">
        <f>B5*2000</f>
        <v>32109.942857142854</v>
      </c>
      <c r="C6" s="11" t="s">
        <v>71</v>
      </c>
    </row>
    <row r="7" spans="1:4" ht="15" customHeight="1" x14ac:dyDescent="0.25">
      <c r="A7" s="6" t="s">
        <v>73</v>
      </c>
      <c r="B7">
        <f>INT(B6/650)</f>
        <v>49</v>
      </c>
      <c r="C7" s="11" t="s">
        <v>74</v>
      </c>
    </row>
    <row r="8" spans="1:4" ht="15" customHeight="1" x14ac:dyDescent="0.25">
      <c r="A8" s="6" t="s">
        <v>75</v>
      </c>
      <c r="B8">
        <f>INT(B6/1200)</f>
        <v>26</v>
      </c>
      <c r="C8" s="11" t="s">
        <v>76</v>
      </c>
    </row>
    <row r="11" spans="1:4" ht="15" customHeight="1" x14ac:dyDescent="0.3">
      <c r="B11" s="32" t="s">
        <v>77</v>
      </c>
    </row>
  </sheetData>
  <sheetProtection algorithmName="SHA-512" hashValue="RjgxIl84FO3RcvvxWrLdCue/kKaFBrTDTUj+zoTPve6/C0B+TA0O5Ya7qnhLfohjcVb4pj7EjFVMLfAz9rS5cw==" saltValue="EFICOjTQ+ovzNSKuozTyfw==" spinCount="100000" sheet="1"/>
  <conditionalFormatting sqref="B3">
    <cfRule type="cellIs" dxfId="0" priority="1" operator="lessThan">
      <formula>10000</formula>
    </cfRule>
  </conditionalFormatting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7F1C-58A6-4A2F-B77B-C54501D6D6D7}">
  <dimension ref="A1:I4"/>
  <sheetViews>
    <sheetView workbookViewId="0">
      <selection activeCell="H1" sqref="H1"/>
    </sheetView>
  </sheetViews>
  <sheetFormatPr defaultColWidth="8.88671875" defaultRowHeight="15" customHeight="1" x14ac:dyDescent="0.3"/>
  <cols>
    <col min="2" max="2" width="34.109375" customWidth="1"/>
  </cols>
  <sheetData>
    <row r="1" spans="1:9" ht="15" customHeight="1" x14ac:dyDescent="0.3">
      <c r="A1" t="s">
        <v>78</v>
      </c>
      <c r="B1" t="s">
        <v>79</v>
      </c>
      <c r="D1" t="s">
        <v>80</v>
      </c>
      <c r="E1" t="s">
        <v>81</v>
      </c>
      <c r="F1" t="s">
        <v>82</v>
      </c>
      <c r="H1" t="s">
        <v>13</v>
      </c>
      <c r="I1" t="s">
        <v>83</v>
      </c>
    </row>
    <row r="2" spans="1:9" ht="15" customHeight="1" x14ac:dyDescent="0.3">
      <c r="A2" t="s">
        <v>6</v>
      </c>
      <c r="B2">
        <v>25</v>
      </c>
      <c r="D2" t="s">
        <v>84</v>
      </c>
      <c r="E2">
        <v>1</v>
      </c>
      <c r="F2">
        <v>0.9</v>
      </c>
      <c r="H2" t="s">
        <v>17</v>
      </c>
      <c r="I2">
        <v>1600</v>
      </c>
    </row>
    <row r="3" spans="1:9" ht="15" customHeight="1" x14ac:dyDescent="0.3">
      <c r="A3" t="s">
        <v>85</v>
      </c>
      <c r="B3">
        <v>45</v>
      </c>
      <c r="D3" t="s">
        <v>86</v>
      </c>
      <c r="E3">
        <v>0.95</v>
      </c>
      <c r="F3">
        <v>0.9</v>
      </c>
      <c r="H3" t="s">
        <v>19</v>
      </c>
      <c r="I3">
        <v>2200</v>
      </c>
    </row>
    <row r="4" spans="1:9" ht="15" customHeight="1" x14ac:dyDescent="0.3">
      <c r="A4" t="s">
        <v>87</v>
      </c>
      <c r="B4">
        <v>15</v>
      </c>
      <c r="D4" t="s">
        <v>11</v>
      </c>
      <c r="E4">
        <v>1.1000000000000001</v>
      </c>
      <c r="F4">
        <v>1</v>
      </c>
      <c r="H4" t="s">
        <v>20</v>
      </c>
      <c r="I4">
        <v>2600</v>
      </c>
    </row>
  </sheetData>
  <sheetProtection algorithmName="SHA-512" hashValue="QpTW+8Mj6PjIhK7/ytGYapl3/Us0xGG83ksd/k4dQS5d2Ot+BL1YFJ+oHjLPjKIG8PZDPrXUZNp7oufLvfh2qQ==" saltValue="mtWzGwPe4iU3YlpS00px+w==" spinCount="100000" sheet="1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 Forma</vt:lpstr>
      <vt:lpstr>Judging Rubric</vt:lpstr>
      <vt:lpstr>Parking Calculation</vt:lpstr>
      <vt:lpstr>Cottage Units Calculation</vt:lpstr>
      <vt:lpstr>Land Cost by Context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Renz-Whitmore, Mikaela J.</dc:creator>
  <cp:keywords/>
  <dc:description/>
  <cp:lastModifiedBy>Renz-Whitmore, Mikaela J.</cp:lastModifiedBy>
  <cp:revision/>
  <dcterms:created xsi:type="dcterms:W3CDTF">2026-07-23T16:09:26Z</dcterms:created>
  <dcterms:modified xsi:type="dcterms:W3CDTF">2026-08-06T17:43:54Z</dcterms:modified>
  <cp:category/>
  <cp:contentStatus/>
</cp:coreProperties>
</file>